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wesleyaf\Desktop\Backup\Acordo de Leniência\"/>
    </mc:Choice>
  </mc:AlternateContent>
  <xr:revisionPtr revIDLastSave="0" documentId="13_ncr:1_{7F0C05BA-B8CC-4B82-96D6-1D7DCDF77497}" xr6:coauthVersionLast="36" xr6:coauthVersionMax="36" xr10:uidLastSave="{00000000-0000-0000-0000-000000000000}"/>
  <bookViews>
    <workbookView xWindow="0" yWindow="0" windowWidth="20730" windowHeight="8910" xr2:uid="{00000000-000D-0000-FFFF-FFFF00000000}"/>
  </bookViews>
  <sheets>
    <sheet name="Empresa Leniente" sheetId="12" r:id="rId1"/>
    <sheet name="Planilha1" sheetId="11" r:id="rId2"/>
  </sheets>
  <definedNames>
    <definedName name="_xlnm.Print_Area" localSheetId="0">'Empresa Leniente'!$A$1:$H$64</definedName>
    <definedName name="Art._17__caput" localSheetId="0">'Empresa Leniente'!$E$7</definedName>
    <definedName name="Art._17__caput">#REF!</definedName>
    <definedName name="Art._17__I" localSheetId="0">'Empresa Leniente'!$E$16</definedName>
    <definedName name="Art._17__I">#REF!</definedName>
    <definedName name="Art._17__II" localSheetId="0">'Empresa Leniente'!$E$17</definedName>
    <definedName name="Art._17__II">#REF!</definedName>
    <definedName name="Art._17__III" localSheetId="0">'Empresa Leniente'!$E$18</definedName>
    <definedName name="Art._17__III">#REF!</definedName>
    <definedName name="Art._17__IV" localSheetId="0">'Empresa Leniente'!$E$19</definedName>
    <definedName name="Art._17__IV">#REF!</definedName>
    <definedName name="Art._17__V" localSheetId="0">'Empresa Leniente'!$E$20</definedName>
    <definedName name="Art._17__V">#REF!</definedName>
    <definedName name="Art._17__VI" localSheetId="0">'Empresa Leniente'!$E$21</definedName>
    <definedName name="Art._17__VI">#REF!</definedName>
    <definedName name="Art._18__I" localSheetId="0">'Empresa Leniente'!$E$24</definedName>
    <definedName name="Art._18__I">#REF!</definedName>
    <definedName name="Art._18__II" localSheetId="0">'Empresa Leniente'!$E$25</definedName>
    <definedName name="Art._18__II">#REF!</definedName>
    <definedName name="Art._18__IV" localSheetId="0">'Empresa Leniente'!$E$27</definedName>
    <definedName name="Art._18__IV">#REF!</definedName>
    <definedName name="Art._18__V" localSheetId="0">'Empresa Leniente'!$E$28</definedName>
    <definedName name="Art._18__V">#REF!</definedName>
    <definedName name="Art._18_III" localSheetId="0">'Empresa Leniente'!$E$26</definedName>
    <definedName name="Art._18_III">#REF!</definedName>
    <definedName name="Art17ou22" localSheetId="0">'Empresa Leniente'!$B$62:$B$65</definedName>
    <definedName name="Art17ou22">#REF!</definedName>
    <definedName name="Faturamento">Planilha1!$A$2:$A$5</definedName>
    <definedName name="possuir_e_aplicar_programa_de_integridade">Planilha1!$L$2:$L$9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12" l="1"/>
  <c r="F12" i="12"/>
  <c r="F13" i="12" l="1"/>
  <c r="E63" i="12" l="1"/>
  <c r="F55" i="12"/>
  <c r="F54" i="12"/>
  <c r="F53" i="12"/>
  <c r="E46" i="12"/>
  <c r="F37" i="12"/>
  <c r="E43" i="12" s="1"/>
  <c r="E29" i="12"/>
  <c r="E34" i="12" s="1"/>
  <c r="F28" i="12"/>
  <c r="F27" i="12"/>
  <c r="F26" i="12"/>
  <c r="F25" i="12"/>
  <c r="F24" i="12"/>
  <c r="E21" i="12"/>
  <c r="E22" i="12" s="1"/>
  <c r="F20" i="12"/>
  <c r="F19" i="12"/>
  <c r="F18" i="12"/>
  <c r="F17" i="12"/>
  <c r="F16" i="12"/>
  <c r="E47" i="12"/>
  <c r="F6" i="12"/>
  <c r="G2" i="12"/>
  <c r="E35" i="12" l="1"/>
  <c r="F35" i="12" s="1"/>
  <c r="F21" i="12"/>
  <c r="F22" i="12" s="1"/>
  <c r="F29" i="12"/>
  <c r="F46" i="12"/>
  <c r="E33" i="12"/>
  <c r="F33" i="12" s="1"/>
  <c r="E42" i="12"/>
  <c r="F42" i="12" s="1"/>
  <c r="G33" i="12" l="1"/>
  <c r="D39" i="12" s="1"/>
  <c r="G31" i="12"/>
  <c r="F48" i="12"/>
  <c r="E48" i="12"/>
  <c r="G39" i="12" l="1"/>
  <c r="D50" i="12" s="1"/>
  <c r="G50" i="12" l="1"/>
  <c r="D58" i="12" s="1"/>
  <c r="G58" i="12" l="1"/>
  <c r="G60" i="12" s="1"/>
  <c r="F64" i="12" s="1"/>
  <c r="G64" i="12" s="1"/>
  <c r="F63" i="12" l="1"/>
</calcChain>
</file>

<file path=xl/sharedStrings.xml><?xml version="1.0" encoding="utf-8"?>
<sst xmlns="http://schemas.openxmlformats.org/spreadsheetml/2006/main" count="164" uniqueCount="144">
  <si>
    <t>impresso em:</t>
  </si>
  <si>
    <t>(b)</t>
  </si>
  <si>
    <t>(c )</t>
  </si>
  <si>
    <t>(d)</t>
  </si>
  <si>
    <t>(e)</t>
  </si>
  <si>
    <t>Agravantes (Art. 17)</t>
  </si>
  <si>
    <t>%</t>
  </si>
  <si>
    <t>Descrição/detalhamento</t>
  </si>
  <si>
    <t>Adotado</t>
  </si>
  <si>
    <t>Valor (R$)</t>
  </si>
  <si>
    <t>I</t>
  </si>
  <si>
    <t>1,0% a 2,5%</t>
  </si>
  <si>
    <t>continuidade do ato lesivo no tempo</t>
  </si>
  <si>
    <t>II</t>
  </si>
  <si>
    <t>tolerância/ciência do corpo diretivo</t>
  </si>
  <si>
    <t>III</t>
  </si>
  <si>
    <t>1,0% a 4,0%</t>
  </si>
  <si>
    <t>interrupção de serviço público ou obra contratada</t>
  </si>
  <si>
    <t>IV</t>
  </si>
  <si>
    <t>situação econômica: SG&gt;1, LG&gt;1 e LL&gt;0</t>
  </si>
  <si>
    <t>V</t>
  </si>
  <si>
    <t>reinciêndia (nova infração) em menos de 5 anos</t>
  </si>
  <si>
    <t>VI</t>
  </si>
  <si>
    <t>1,0 a 5,0%</t>
  </si>
  <si>
    <t>em função do montante de contratos:
1,0% para contratos &gt; 1.5 milhão
2,0% para contratos &gt; 10 milhões
3,0% para contratos &gt; 50 milhões
4,0% para contratos &gt; 250 milhões
5,0% para contratos &gt; 1.0 bilhão</t>
  </si>
  <si>
    <t>(g)</t>
  </si>
  <si>
    <t>Atenuantes (Art. 18)</t>
  </si>
  <si>
    <t>caso de não consumação da infração</t>
  </si>
  <si>
    <t>caso de comprovação de ressarcimento dos danos</t>
  </si>
  <si>
    <t>1,0% a 1,5%</t>
  </si>
  <si>
    <t>grau de colaboração com a investigação</t>
  </si>
  <si>
    <t>caso de comunicação espontânea antes do PAR</t>
  </si>
  <si>
    <t>possuir e aplicar programa de integridade</t>
  </si>
  <si>
    <t>(h)</t>
  </si>
  <si>
    <t>Resultado (Art. 17 - Art. 18)</t>
  </si>
  <si>
    <t>(i)</t>
  </si>
  <si>
    <t>Art. 19</t>
  </si>
  <si>
    <t>Do faturamento bruto último exerc antes do PAR</t>
  </si>
  <si>
    <t>Resultado (Art. 19)</t>
  </si>
  <si>
    <t>(j)</t>
  </si>
  <si>
    <t xml:space="preserve">                          Vantagem Auferida</t>
  </si>
  <si>
    <t xml:space="preserve">                           Previsto no Art. 19</t>
  </si>
  <si>
    <t>(k)</t>
  </si>
  <si>
    <t>(l)</t>
  </si>
  <si>
    <t>Art. 22</t>
  </si>
  <si>
    <t>Caso não seja possível calcular Fat Bruto ano anterior:</t>
  </si>
  <si>
    <t>§ único</t>
  </si>
  <si>
    <t>Limite Mínimo</t>
  </si>
  <si>
    <t>(m)</t>
  </si>
  <si>
    <t>Limite Máximo</t>
  </si>
  <si>
    <t>(n)</t>
  </si>
  <si>
    <t>Valor Integral da Multa</t>
  </si>
  <si>
    <t>(o)</t>
  </si>
  <si>
    <t>Redução Máxima de 2/3</t>
  </si>
  <si>
    <t>(p)</t>
  </si>
  <si>
    <t>(a)</t>
  </si>
  <si>
    <t>(q)</t>
  </si>
  <si>
    <t>Art. 22, I</t>
  </si>
  <si>
    <t>Art. 22, II</t>
  </si>
  <si>
    <t>Art. 22, III</t>
  </si>
  <si>
    <t>Empresa:</t>
  </si>
  <si>
    <t>Propina para fins do cálculo da multa da LAC</t>
  </si>
  <si>
    <t>Ano base do cálculo da multa da LAC</t>
  </si>
  <si>
    <t>Parâmetros</t>
  </si>
  <si>
    <t>(f)</t>
  </si>
  <si>
    <t>Art. 17, caput</t>
  </si>
  <si>
    <t>Parâmetro informado</t>
  </si>
  <si>
    <t>= E14*$F$6</t>
  </si>
  <si>
    <t>= E15*$F$6</t>
  </si>
  <si>
    <t>= E16*$F$6</t>
  </si>
  <si>
    <t>= E17*$F$6</t>
  </si>
  <si>
    <t>= E18*$F$6</t>
  </si>
  <si>
    <t>= E19*$F$6</t>
  </si>
  <si>
    <t xml:space="preserve"> = SOMA(F14:F19)</t>
  </si>
  <si>
    <t>Agravantes</t>
  </si>
  <si>
    <t>Atenuantes</t>
  </si>
  <si>
    <t xml:space="preserve"> = E24*$F$6</t>
  </si>
  <si>
    <t xml:space="preserve"> = E23*$F$6</t>
  </si>
  <si>
    <t xml:space="preserve"> = E25*$F$6</t>
  </si>
  <si>
    <t xml:space="preserve"> = E27*$F$6</t>
  </si>
  <si>
    <t xml:space="preserve"> = E26*$F$6</t>
  </si>
  <si>
    <t xml:space="preserve"> = SOMA(F23:F27)</t>
  </si>
  <si>
    <t>= Agravantes - Atenuantes</t>
  </si>
  <si>
    <t>= F20-F30</t>
  </si>
  <si>
    <t>Na ausência de todos fatores do Art. 18</t>
  </si>
  <si>
    <t>Na ausência de todos fatores do Art. 17</t>
  </si>
  <si>
    <t>Se (Agravantes - Atenuantes) &lt;= 0</t>
  </si>
  <si>
    <t>Limites da Multa (em qualquer hipótese):</t>
  </si>
  <si>
    <t>=SE(E20&lt;&gt;0;"NÃO";"SIM")</t>
  </si>
  <si>
    <t>=SE(E28&lt;&gt;0;"NÃO";"SIM")</t>
  </si>
  <si>
    <t>=SE(E20-E20&lt;=0;"SIM";"NÃO")</t>
  </si>
  <si>
    <t>Limite 2: o menor entre</t>
  </si>
  <si>
    <t>Limite 1: o maior entre:</t>
  </si>
  <si>
    <t>= F7+F10+F11</t>
  </si>
  <si>
    <t>Faixa de Valores entre:</t>
  </si>
  <si>
    <t>Resultado (Art. 20,  1º)</t>
  </si>
  <si>
    <t>Resultado  (Art. 17)</t>
  </si>
  <si>
    <t>Resultado  (Art. 18)</t>
  </si>
  <si>
    <t>Resultado  (Art. 22)</t>
  </si>
  <si>
    <t>HIPÓTESES DO ART. 22</t>
  </si>
  <si>
    <t>FAIXA DE VALORES DO ART. 20</t>
  </si>
  <si>
    <t>HIPÓTESES DO ART. 19</t>
  </si>
  <si>
    <t>AGRAVANTES (ART. 17)</t>
  </si>
  <si>
    <t>ATENUANTES (ART. 18)</t>
  </si>
  <si>
    <t>ART. 17
 - 
ART. 18</t>
  </si>
  <si>
    <t>Na hipótese do Art. 22</t>
  </si>
  <si>
    <t xml:space="preserve">                            20% do Faturamento Bruto Exerc. Ant.</t>
  </si>
  <si>
    <t>(s)</t>
  </si>
  <si>
    <t>(r )</t>
  </si>
  <si>
    <t>Calculado conforme Decreto 8.420/2015</t>
  </si>
  <si>
    <t xml:space="preserve">Saldo contratual dos instrumentos contaminados, a partir de  29/01/2014 </t>
  </si>
  <si>
    <t>Lucro para fins de cálculo da multa da LAC</t>
  </si>
  <si>
    <t>Faturamento</t>
  </si>
  <si>
    <t>Art. 17, I</t>
  </si>
  <si>
    <t>Art. 17, II</t>
  </si>
  <si>
    <t>Art. 17, III</t>
  </si>
  <si>
    <t>Art. 17, IV</t>
  </si>
  <si>
    <t>Art. 17, V</t>
  </si>
  <si>
    <t>Art. 17, VI</t>
  </si>
  <si>
    <t>Art. 18, I</t>
  </si>
  <si>
    <t>Art. 18, II</t>
  </si>
  <si>
    <t>Art. 18,III</t>
  </si>
  <si>
    <t>Art. 18, IV</t>
  </si>
  <si>
    <t>Art. 18, V</t>
  </si>
  <si>
    <t xml:space="preserve">   Faturamento Bruto no ano do ato lesivo</t>
  </si>
  <si>
    <t xml:space="preserve">   Montante recursos recebidos no ano do ato</t>
  </si>
  <si>
    <t xml:space="preserve">   Faturam anual estimável da PJ (quaisquer métodos)</t>
  </si>
  <si>
    <t xml:space="preserve">                            3 x (vantagem pretendida ou auferida)</t>
  </si>
  <si>
    <t>(t)</t>
  </si>
  <si>
    <t>Multa Integral</t>
  </si>
  <si>
    <t>Multa Reduzida</t>
  </si>
  <si>
    <t>Redução da Multa em caso de Acordo de Leniência</t>
  </si>
  <si>
    <t>Redução aplicada</t>
  </si>
  <si>
    <t>% Lucro estimado dos contratos</t>
  </si>
  <si>
    <t>Valor total dos instrumentos  no período, incluindo aditivos</t>
  </si>
  <si>
    <t>Vantagem apropriada para fins de cálculo da multa da LAC</t>
  </si>
  <si>
    <t xml:space="preserve">Faturamento Bruto </t>
  </si>
  <si>
    <t>Exercício (ano) da instauração do Processo (PAR ou Leniência, o que ocorrer primeiro)</t>
  </si>
  <si>
    <r>
      <rPr>
        <b/>
        <sz val="11"/>
        <color theme="1"/>
        <rFont val="Calibri"/>
        <family val="2"/>
        <scheme val="minor"/>
      </rPr>
      <t>Multa Reduzida (</t>
    </r>
    <r>
      <rPr>
        <sz val="11"/>
        <color theme="1"/>
        <rFont val="Calibri"/>
        <family val="2"/>
        <scheme val="minor"/>
      </rPr>
      <t>Art. 23)</t>
    </r>
  </si>
  <si>
    <t>Limites (Art. 20,§ 1º)</t>
  </si>
  <si>
    <t>PARÂMETROS</t>
  </si>
  <si>
    <t>CÁLCULO DA MULTA DA LAC: APLICÁVEL SOMENTE SE HOUVER ILÍCITO PRATICADO A PARTIR DE 29/01/2014</t>
  </si>
  <si>
    <t>Fulana de Tal</t>
  </si>
  <si>
    <t>ENTE LESADO: Autarquia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</si>
</sst>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;[Red]\-&quot;R$&quot;\ #,##0"/>
    <numFmt numFmtId="165" formatCode="&quot;R$&quot;\ #,##0.00;[Red]\-&quot;R$&quot;\ #,##0.00"/>
    <numFmt numFmtId="166" formatCode="0.0%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4" xfId="0" applyBorder="1"/>
    <xf numFmtId="0" fontId="0" fillId="0" borderId="0" xfId="1" applyNumberFormat="1" applyFont="1" applyBorder="1"/>
    <xf numFmtId="0" fontId="0" fillId="0" borderId="0" xfId="0" applyBorder="1"/>
    <xf numFmtId="166" fontId="0" fillId="0" borderId="0" xfId="2" applyNumberFormat="1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4" fontId="1" fillId="0" borderId="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4" fillId="3" borderId="3" xfId="1" applyFont="1" applyFill="1" applyBorder="1"/>
    <xf numFmtId="0" fontId="0" fillId="0" borderId="6" xfId="0" applyBorder="1"/>
    <xf numFmtId="0" fontId="0" fillId="0" borderId="7" xfId="1" applyNumberFormat="1" applyFont="1" applyBorder="1"/>
    <xf numFmtId="0" fontId="0" fillId="0" borderId="7" xfId="0" applyBorder="1"/>
    <xf numFmtId="166" fontId="0" fillId="0" borderId="7" xfId="2" applyNumberFormat="1" applyFont="1" applyBorder="1" applyAlignment="1">
      <alignment horizontal="center"/>
    </xf>
    <xf numFmtId="43" fontId="0" fillId="0" borderId="7" xfId="1" applyFont="1" applyBorder="1" applyAlignment="1">
      <alignment horizontal="right"/>
    </xf>
    <xf numFmtId="164" fontId="1" fillId="0" borderId="8" xfId="1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6" fontId="0" fillId="0" borderId="10" xfId="2" applyNumberFormat="1" applyFont="1" applyBorder="1" applyAlignment="1">
      <alignment horizontal="center"/>
    </xf>
    <xf numFmtId="43" fontId="0" fillId="0" borderId="10" xfId="1" applyFont="1" applyBorder="1" applyAlignment="1">
      <alignment horizontal="right"/>
    </xf>
    <xf numFmtId="164" fontId="1" fillId="0" borderId="9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1" applyNumberFormat="1" applyFont="1" applyBorder="1"/>
    <xf numFmtId="166" fontId="0" fillId="3" borderId="3" xfId="2" applyNumberFormat="1" applyFont="1" applyFill="1" applyBorder="1" applyAlignment="1">
      <alignment horizontal="center"/>
    </xf>
    <xf numFmtId="166" fontId="0" fillId="0" borderId="5" xfId="1" applyNumberFormat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 applyAlignment="1">
      <alignment horizontal="right" vertical="center"/>
    </xf>
    <xf numFmtId="0" fontId="0" fillId="0" borderId="5" xfId="0" applyBorder="1"/>
    <xf numFmtId="43" fontId="3" fillId="0" borderId="0" xfId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0" fontId="0" fillId="0" borderId="8" xfId="0" applyBorder="1"/>
    <xf numFmtId="0" fontId="0" fillId="0" borderId="8" xfId="1" applyNumberFormat="1" applyFont="1" applyBorder="1"/>
    <xf numFmtId="0" fontId="0" fillId="0" borderId="9" xfId="1" applyNumberFormat="1" applyFont="1" applyBorder="1"/>
    <xf numFmtId="43" fontId="3" fillId="0" borderId="7" xfId="1" applyFont="1" applyBorder="1" applyAlignment="1">
      <alignment horizontal="right"/>
    </xf>
    <xf numFmtId="164" fontId="0" fillId="0" borderId="8" xfId="1" applyNumberFormat="1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0" fontId="0" fillId="0" borderId="10" xfId="0" applyBorder="1" applyAlignment="1">
      <alignment wrapText="1"/>
    </xf>
    <xf numFmtId="165" fontId="0" fillId="0" borderId="5" xfId="1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7" xfId="0" applyFont="1" applyBorder="1"/>
    <xf numFmtId="166" fontId="3" fillId="0" borderId="7" xfId="2" applyNumberFormat="1" applyFont="1" applyBorder="1" applyAlignment="1">
      <alignment horizontal="center"/>
    </xf>
    <xf numFmtId="0" fontId="0" fillId="0" borderId="0" xfId="1" applyNumberFormat="1" applyFont="1"/>
    <xf numFmtId="166" fontId="0" fillId="0" borderId="0" xfId="2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43" fontId="1" fillId="0" borderId="0" xfId="1" applyFont="1" applyBorder="1" applyAlignment="1">
      <alignment horizontal="right"/>
    </xf>
    <xf numFmtId="164" fontId="1" fillId="0" borderId="12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7" fontId="0" fillId="0" borderId="0" xfId="1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166" fontId="4" fillId="3" borderId="3" xfId="2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quotePrefix="1" applyFont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  <xf numFmtId="43" fontId="3" fillId="0" borderId="0" xfId="1" quotePrefix="1" applyFont="1" applyBorder="1" applyAlignment="1">
      <alignment horizontal="left" vertical="center"/>
    </xf>
    <xf numFmtId="0" fontId="3" fillId="0" borderId="9" xfId="0" applyFont="1" applyBorder="1"/>
    <xf numFmtId="0" fontId="3" fillId="0" borderId="9" xfId="1" applyNumberFormat="1" applyFont="1" applyBorder="1" applyAlignment="1">
      <alignment horizontal="center"/>
    </xf>
    <xf numFmtId="0" fontId="3" fillId="0" borderId="10" xfId="0" applyFont="1" applyBorder="1"/>
    <xf numFmtId="166" fontId="3" fillId="0" borderId="10" xfId="2" applyNumberFormat="1" applyFont="1" applyBorder="1" applyAlignment="1">
      <alignment horizontal="center"/>
    </xf>
    <xf numFmtId="43" fontId="3" fillId="0" borderId="10" xfId="1" applyFont="1" applyBorder="1" applyAlignment="1">
      <alignment horizontal="right"/>
    </xf>
    <xf numFmtId="0" fontId="3" fillId="0" borderId="5" xfId="0" applyFont="1" applyBorder="1"/>
    <xf numFmtId="0" fontId="3" fillId="0" borderId="5" xfId="1" applyNumberFormat="1" applyFont="1" applyBorder="1"/>
    <xf numFmtId="0" fontId="3" fillId="0" borderId="0" xfId="0" applyFont="1" applyFill="1" applyBorder="1"/>
    <xf numFmtId="166" fontId="3" fillId="0" borderId="0" xfId="2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1" applyNumberFormat="1" applyFont="1" applyBorder="1"/>
    <xf numFmtId="164" fontId="0" fillId="0" borderId="0" xfId="1" quotePrefix="1" applyNumberFormat="1" applyFont="1" applyAlignment="1">
      <alignment horizontal="left" vertical="center"/>
    </xf>
    <xf numFmtId="164" fontId="3" fillId="0" borderId="0" xfId="1" quotePrefix="1" applyNumberFormat="1" applyFont="1" applyAlignment="1">
      <alignment horizontal="left" vertical="center"/>
    </xf>
    <xf numFmtId="0" fontId="3" fillId="0" borderId="0" xfId="0" quotePrefix="1" applyFont="1" applyBorder="1"/>
    <xf numFmtId="0" fontId="0" fillId="0" borderId="4" xfId="1" applyNumberFormat="1" applyFont="1" applyBorder="1"/>
    <xf numFmtId="0" fontId="0" fillId="0" borderId="11" xfId="1" applyNumberFormat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 vertical="center"/>
    </xf>
    <xf numFmtId="43" fontId="1" fillId="4" borderId="3" xfId="1" applyFont="1" applyFill="1" applyBorder="1"/>
    <xf numFmtId="166" fontId="0" fillId="0" borderId="0" xfId="1" quotePrefix="1" applyNumberFormat="1" applyFont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1" applyNumberFormat="1" applyFont="1" applyBorder="1"/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11" xfId="0" applyFill="1" applyBorder="1"/>
    <xf numFmtId="43" fontId="0" fillId="0" borderId="12" xfId="1" applyFont="1" applyBorder="1" applyAlignment="1">
      <alignment horizontal="right"/>
    </xf>
    <xf numFmtId="43" fontId="0" fillId="0" borderId="13" xfId="1" applyFont="1" applyBorder="1" applyAlignment="1">
      <alignment horizontal="right"/>
    </xf>
    <xf numFmtId="43" fontId="8" fillId="0" borderId="13" xfId="1" applyFont="1" applyBorder="1" applyAlignment="1">
      <alignment horizontal="right"/>
    </xf>
    <xf numFmtId="43" fontId="1" fillId="0" borderId="13" xfId="1" applyFont="1" applyBorder="1" applyAlignment="1">
      <alignment horizontal="right"/>
    </xf>
    <xf numFmtId="0" fontId="0" fillId="0" borderId="4" xfId="0" applyFont="1" applyFill="1" applyBorder="1"/>
    <xf numFmtId="43" fontId="3" fillId="0" borderId="6" xfId="1" applyFont="1" applyFill="1" applyBorder="1"/>
    <xf numFmtId="43" fontId="2" fillId="0" borderId="14" xfId="1" applyFont="1" applyBorder="1" applyAlignment="1">
      <alignment horizontal="right"/>
    </xf>
    <xf numFmtId="43" fontId="1" fillId="0" borderId="13" xfId="1" applyFont="1" applyBorder="1" applyAlignment="1">
      <alignment horizontal="center" vertical="center"/>
    </xf>
    <xf numFmtId="43" fontId="1" fillId="0" borderId="0" xfId="1" applyFont="1" applyBorder="1" applyAlignment="1">
      <alignment horizontal="center"/>
    </xf>
    <xf numFmtId="166" fontId="0" fillId="0" borderId="0" xfId="2" applyNumberFormat="1" applyFont="1"/>
    <xf numFmtId="166" fontId="0" fillId="4" borderId="3" xfId="2" applyNumberFormat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right"/>
    </xf>
    <xf numFmtId="43" fontId="3" fillId="0" borderId="5" xfId="1" applyFont="1" applyFill="1" applyBorder="1" applyAlignment="1">
      <alignment horizontal="right"/>
    </xf>
    <xf numFmtId="43" fontId="0" fillId="0" borderId="8" xfId="1" applyFont="1" applyFill="1" applyBorder="1" applyAlignment="1">
      <alignment horizontal="right"/>
    </xf>
    <xf numFmtId="10" fontId="0" fillId="0" borderId="0" xfId="2" applyNumberFormat="1" applyFont="1" applyAlignment="1">
      <alignment horizontal="right"/>
    </xf>
    <xf numFmtId="10" fontId="4" fillId="3" borderId="3" xfId="1" applyNumberFormat="1" applyFont="1" applyFill="1" applyBorder="1" applyAlignment="1">
      <alignment horizontal="right" vertical="center"/>
    </xf>
    <xf numFmtId="166" fontId="0" fillId="3" borderId="7" xfId="2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3" fontId="1" fillId="0" borderId="3" xfId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6" fontId="3" fillId="2" borderId="7" xfId="2" applyNumberFormat="1" applyFont="1" applyFill="1" applyBorder="1" applyAlignment="1">
      <alignment horizontal="center"/>
    </xf>
    <xf numFmtId="43" fontId="3" fillId="2" borderId="7" xfId="1" applyFont="1" applyFill="1" applyBorder="1" applyAlignment="1">
      <alignment horizontal="right"/>
    </xf>
    <xf numFmtId="14" fontId="3" fillId="2" borderId="7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 textRotation="90" wrapText="1"/>
    </xf>
    <xf numFmtId="164" fontId="6" fillId="0" borderId="5" xfId="1" applyNumberFormat="1" applyFont="1" applyBorder="1" applyAlignment="1">
      <alignment horizontal="center" vertical="center" textRotation="90" wrapText="1"/>
    </xf>
    <xf numFmtId="164" fontId="6" fillId="0" borderId="8" xfId="1" applyNumberFormat="1" applyFont="1" applyBorder="1" applyAlignment="1">
      <alignment horizontal="center" vertical="center" textRotation="90" wrapText="1"/>
    </xf>
    <xf numFmtId="43" fontId="0" fillId="0" borderId="10" xfId="1" applyFont="1" applyBorder="1" applyAlignment="1">
      <alignment horizontal="center" vertical="center"/>
    </xf>
    <xf numFmtId="43" fontId="1" fillId="0" borderId="12" xfId="1" applyFont="1" applyBorder="1" applyAlignment="1">
      <alignment horizontal="center" vertical="center"/>
    </xf>
    <xf numFmtId="43" fontId="1" fillId="0" borderId="13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6" fillId="0" borderId="9" xfId="1" applyFont="1" applyBorder="1" applyAlignment="1">
      <alignment horizontal="center" vertical="center" textRotation="90"/>
    </xf>
    <xf numFmtId="43" fontId="6" fillId="0" borderId="5" xfId="1" applyFont="1" applyBorder="1" applyAlignment="1">
      <alignment horizontal="center" vertical="center" textRotation="90"/>
    </xf>
    <xf numFmtId="43" fontId="6" fillId="0" borderId="8" xfId="1" applyFont="1" applyBorder="1" applyAlignment="1">
      <alignment horizontal="center" vertical="center" textRotation="90"/>
    </xf>
    <xf numFmtId="164" fontId="6" fillId="0" borderId="9" xfId="1" applyNumberFormat="1" applyFont="1" applyBorder="1" applyAlignment="1">
      <alignment horizontal="center" vertical="center" textRotation="90"/>
    </xf>
    <xf numFmtId="164" fontId="6" fillId="0" borderId="5" xfId="1" applyNumberFormat="1" applyFont="1" applyBorder="1" applyAlignment="1">
      <alignment horizontal="center" vertical="center" textRotation="90"/>
    </xf>
    <xf numFmtId="164" fontId="6" fillId="0" borderId="8" xfId="1" applyNumberFormat="1" applyFont="1" applyBorder="1" applyAlignment="1">
      <alignment horizontal="center" vertical="center" textRotation="9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>
      <selection activeCell="G2" sqref="G2"/>
    </sheetView>
  </sheetViews>
  <sheetFormatPr defaultRowHeight="15" x14ac:dyDescent="0.25"/>
  <cols>
    <col min="1" max="1" width="11.140625" customWidth="1"/>
    <col min="2" max="2" width="25.85546875" customWidth="1"/>
    <col min="3" max="3" width="13" style="43" customWidth="1"/>
    <col min="4" max="4" width="47.7109375" customWidth="1"/>
    <col min="5" max="5" width="16.85546875" style="44" customWidth="1"/>
    <col min="6" max="6" width="18" style="8" customWidth="1"/>
    <col min="7" max="7" width="15.28515625" style="8" customWidth="1"/>
    <col min="8" max="8" width="8.140625" style="45" customWidth="1"/>
    <col min="9" max="9" width="27.7109375" style="56" hidden="1" customWidth="1"/>
    <col min="10" max="10" width="0" hidden="1" customWidth="1"/>
    <col min="11" max="11" width="13.5703125" customWidth="1"/>
  </cols>
  <sheetData>
    <row r="1" spans="1:11" ht="30" customHeight="1" thickBot="1" x14ac:dyDescent="0.3">
      <c r="A1" s="116" t="s">
        <v>141</v>
      </c>
      <c r="B1" s="117"/>
      <c r="C1" s="117"/>
      <c r="D1" s="117"/>
      <c r="E1" s="117"/>
      <c r="F1" s="117"/>
      <c r="G1" s="117"/>
      <c r="H1" s="118"/>
    </row>
    <row r="2" spans="1:11" ht="15.75" thickBot="1" x14ac:dyDescent="0.3">
      <c r="A2" t="s">
        <v>60</v>
      </c>
      <c r="B2" s="106" t="s">
        <v>142</v>
      </c>
      <c r="C2" s="11"/>
      <c r="D2" s="107" t="s">
        <v>143</v>
      </c>
      <c r="E2" s="108"/>
      <c r="F2" s="109" t="s">
        <v>0</v>
      </c>
      <c r="G2" s="110">
        <f ca="1">TODAY()</f>
        <v>43585</v>
      </c>
      <c r="H2" s="111"/>
    </row>
    <row r="3" spans="1:11" ht="7.5" customHeight="1" x14ac:dyDescent="0.25">
      <c r="A3" s="16"/>
      <c r="B3" s="1"/>
      <c r="C3" s="2"/>
      <c r="D3" s="3"/>
      <c r="E3" s="4"/>
      <c r="F3" s="5"/>
      <c r="G3" s="5"/>
      <c r="H3" s="6"/>
    </row>
    <row r="4" spans="1:11" ht="15.75" thickBot="1" x14ac:dyDescent="0.3">
      <c r="A4" s="126" t="s">
        <v>140</v>
      </c>
      <c r="B4" s="127" t="s">
        <v>63</v>
      </c>
      <c r="C4" s="128"/>
      <c r="D4" s="128"/>
      <c r="E4" s="4"/>
      <c r="F4" s="5"/>
      <c r="G4" s="5"/>
      <c r="H4" s="6"/>
    </row>
    <row r="5" spans="1:11" ht="15.75" thickBot="1" x14ac:dyDescent="0.3">
      <c r="A5" s="126"/>
      <c r="B5" s="52" t="s">
        <v>137</v>
      </c>
      <c r="C5" s="50"/>
      <c r="D5" s="50"/>
      <c r="E5" s="4"/>
      <c r="F5" s="54">
        <v>2016</v>
      </c>
      <c r="G5" s="5"/>
      <c r="H5" s="7" t="s">
        <v>55</v>
      </c>
      <c r="I5" s="57" t="s">
        <v>66</v>
      </c>
    </row>
    <row r="6" spans="1:11" ht="15.75" thickBot="1" x14ac:dyDescent="0.3">
      <c r="A6" s="126"/>
      <c r="B6" s="52" t="s">
        <v>62</v>
      </c>
      <c r="C6" s="50"/>
      <c r="D6" s="50"/>
      <c r="E6" s="4"/>
      <c r="F6" s="53">
        <f>F5-1</f>
        <v>2015</v>
      </c>
      <c r="G6" s="5"/>
      <c r="H6" s="6"/>
    </row>
    <row r="7" spans="1:11" ht="15.75" thickBot="1" x14ac:dyDescent="0.3">
      <c r="A7" s="126"/>
      <c r="B7" s="129" t="s">
        <v>136</v>
      </c>
      <c r="C7" s="130"/>
      <c r="D7" s="130"/>
      <c r="E7" s="55" t="s">
        <v>65</v>
      </c>
      <c r="F7" s="9">
        <v>945768000</v>
      </c>
      <c r="G7" s="5"/>
      <c r="H7" s="7" t="s">
        <v>1</v>
      </c>
      <c r="I7" s="57" t="s">
        <v>66</v>
      </c>
    </row>
    <row r="8" spans="1:11" s="8" customFormat="1" ht="15.75" thickBot="1" x14ac:dyDescent="0.3">
      <c r="A8" s="126"/>
      <c r="B8" s="129" t="s">
        <v>61</v>
      </c>
      <c r="C8" s="130"/>
      <c r="D8" s="130"/>
      <c r="E8" s="4"/>
      <c r="F8" s="9">
        <v>9175000</v>
      </c>
      <c r="G8" s="5"/>
      <c r="H8" s="7" t="s">
        <v>2</v>
      </c>
      <c r="I8" s="57" t="s">
        <v>66</v>
      </c>
    </row>
    <row r="9" spans="1:11" s="8" customFormat="1" ht="15.75" thickBot="1" x14ac:dyDescent="0.3">
      <c r="A9" s="126"/>
      <c r="B9" s="131" t="s">
        <v>134</v>
      </c>
      <c r="C9" s="132"/>
      <c r="D9" s="132"/>
      <c r="E9" s="4"/>
      <c r="F9" s="9">
        <v>3100000000</v>
      </c>
      <c r="G9" s="5"/>
      <c r="H9" s="7" t="s">
        <v>3</v>
      </c>
      <c r="I9" s="57" t="s">
        <v>66</v>
      </c>
    </row>
    <row r="10" spans="1:11" s="8" customFormat="1" ht="15.75" thickBot="1" x14ac:dyDescent="0.3">
      <c r="A10" s="126"/>
      <c r="B10" s="129" t="s">
        <v>110</v>
      </c>
      <c r="C10" s="130"/>
      <c r="D10" s="130"/>
      <c r="E10" s="4"/>
      <c r="F10" s="9">
        <v>2487542928.6700001</v>
      </c>
      <c r="G10" s="5"/>
      <c r="H10" s="7" t="s">
        <v>4</v>
      </c>
      <c r="I10" s="57" t="s">
        <v>66</v>
      </c>
      <c r="K10" s="101"/>
    </row>
    <row r="11" spans="1:11" s="8" customFormat="1" ht="15.75" thickBot="1" x14ac:dyDescent="0.3">
      <c r="A11" s="126"/>
      <c r="B11" s="51" t="s">
        <v>133</v>
      </c>
      <c r="C11" s="49"/>
      <c r="D11" s="49"/>
      <c r="E11" s="4"/>
      <c r="F11" s="102">
        <v>0.30399999999999999</v>
      </c>
      <c r="G11" s="5"/>
      <c r="H11" s="7" t="s">
        <v>64</v>
      </c>
      <c r="I11" s="57"/>
    </row>
    <row r="12" spans="1:11" s="8" customFormat="1" ht="15.75" thickBot="1" x14ac:dyDescent="0.3">
      <c r="A12" s="126"/>
      <c r="B12" s="129" t="s">
        <v>111</v>
      </c>
      <c r="C12" s="130"/>
      <c r="D12" s="130"/>
      <c r="E12" s="4"/>
      <c r="F12" s="105">
        <f>F11*F10</f>
        <v>756213050.31568003</v>
      </c>
      <c r="G12" s="5"/>
      <c r="H12" s="7" t="s">
        <v>25</v>
      </c>
      <c r="I12" s="57" t="s">
        <v>66</v>
      </c>
    </row>
    <row r="13" spans="1:11" s="8" customFormat="1" ht="15.75" thickBot="1" x14ac:dyDescent="0.3">
      <c r="A13" s="126"/>
      <c r="B13" s="129" t="s">
        <v>135</v>
      </c>
      <c r="C13" s="130"/>
      <c r="D13" s="130"/>
      <c r="E13" s="4"/>
      <c r="F13" s="79">
        <f>F8+F12</f>
        <v>765388050.31568003</v>
      </c>
      <c r="G13" s="5"/>
      <c r="H13" s="7" t="s">
        <v>33</v>
      </c>
      <c r="I13" s="80" t="s">
        <v>93</v>
      </c>
    </row>
    <row r="14" spans="1:11" ht="7.5" customHeight="1" thickBot="1" x14ac:dyDescent="0.3">
      <c r="A14" s="112"/>
      <c r="B14" s="10"/>
      <c r="C14" s="11"/>
      <c r="D14" s="12"/>
      <c r="E14" s="13"/>
      <c r="F14" s="14"/>
      <c r="G14" s="14"/>
      <c r="H14" s="15"/>
    </row>
    <row r="15" spans="1:11" s="8" customFormat="1" ht="15.75" customHeight="1" thickBot="1" x14ac:dyDescent="0.3">
      <c r="A15" s="133" t="s">
        <v>102</v>
      </c>
      <c r="B15" s="61" t="s">
        <v>5</v>
      </c>
      <c r="C15" s="62" t="s">
        <v>6</v>
      </c>
      <c r="D15" s="63" t="s">
        <v>7</v>
      </c>
      <c r="E15" s="64" t="s">
        <v>8</v>
      </c>
      <c r="F15" s="65" t="s">
        <v>9</v>
      </c>
      <c r="G15" s="19"/>
      <c r="H15" s="20"/>
      <c r="I15" s="57"/>
    </row>
    <row r="16" spans="1:11" s="8" customFormat="1" ht="15.75" thickBot="1" x14ac:dyDescent="0.3">
      <c r="A16" s="134"/>
      <c r="B16" s="21" t="s">
        <v>10</v>
      </c>
      <c r="C16" s="22" t="s">
        <v>11</v>
      </c>
      <c r="D16" s="3" t="s">
        <v>12</v>
      </c>
      <c r="E16" s="23">
        <v>1.4999999999999999E-2</v>
      </c>
      <c r="F16" s="5">
        <f>E16*$F$7</f>
        <v>14186520</v>
      </c>
      <c r="G16" s="5"/>
      <c r="H16" s="6"/>
      <c r="I16" s="58" t="s">
        <v>67</v>
      </c>
    </row>
    <row r="17" spans="1:9" s="8" customFormat="1" ht="15.75" thickBot="1" x14ac:dyDescent="0.3">
      <c r="A17" s="134"/>
      <c r="B17" s="21" t="s">
        <v>13</v>
      </c>
      <c r="C17" s="22" t="s">
        <v>11</v>
      </c>
      <c r="D17" s="3" t="s">
        <v>14</v>
      </c>
      <c r="E17" s="23">
        <v>2.5000000000000001E-2</v>
      </c>
      <c r="F17" s="5">
        <f t="shared" ref="F17:F21" si="0">E17*$F$7</f>
        <v>23644200</v>
      </c>
      <c r="G17" s="5"/>
      <c r="H17" s="6"/>
      <c r="I17" s="58" t="s">
        <v>68</v>
      </c>
    </row>
    <row r="18" spans="1:9" s="8" customFormat="1" ht="15.75" thickBot="1" x14ac:dyDescent="0.3">
      <c r="A18" s="134"/>
      <c r="B18" s="21" t="s">
        <v>15</v>
      </c>
      <c r="C18" s="22" t="s">
        <v>16</v>
      </c>
      <c r="D18" s="3" t="s">
        <v>17</v>
      </c>
      <c r="E18" s="23">
        <v>0</v>
      </c>
      <c r="F18" s="5">
        <f t="shared" si="0"/>
        <v>0</v>
      </c>
      <c r="G18" s="5"/>
      <c r="H18" s="6"/>
      <c r="I18" s="58" t="s">
        <v>69</v>
      </c>
    </row>
    <row r="19" spans="1:9" s="8" customFormat="1" ht="15.75" thickBot="1" x14ac:dyDescent="0.3">
      <c r="A19" s="134"/>
      <c r="B19" s="21" t="s">
        <v>18</v>
      </c>
      <c r="C19" s="24">
        <v>0.01</v>
      </c>
      <c r="D19" s="3" t="s">
        <v>19</v>
      </c>
      <c r="E19" s="23">
        <v>0</v>
      </c>
      <c r="F19" s="5">
        <f t="shared" si="0"/>
        <v>0</v>
      </c>
      <c r="G19" s="5"/>
      <c r="H19" s="6"/>
      <c r="I19" s="58" t="s">
        <v>70</v>
      </c>
    </row>
    <row r="20" spans="1:9" s="8" customFormat="1" ht="15.75" thickBot="1" x14ac:dyDescent="0.3">
      <c r="A20" s="134"/>
      <c r="B20" s="21" t="s">
        <v>20</v>
      </c>
      <c r="C20" s="24">
        <v>0.05</v>
      </c>
      <c r="D20" s="3" t="s">
        <v>21</v>
      </c>
      <c r="E20" s="23">
        <v>0</v>
      </c>
      <c r="F20" s="5">
        <f t="shared" si="0"/>
        <v>0</v>
      </c>
      <c r="G20" s="5"/>
      <c r="H20" s="6"/>
      <c r="I20" s="58" t="s">
        <v>71</v>
      </c>
    </row>
    <row r="21" spans="1:9" s="8" customFormat="1" ht="90.75" thickBot="1" x14ac:dyDescent="0.3">
      <c r="A21" s="134"/>
      <c r="B21" s="25" t="s">
        <v>22</v>
      </c>
      <c r="C21" s="26" t="s">
        <v>23</v>
      </c>
      <c r="D21" s="27" t="s">
        <v>24</v>
      </c>
      <c r="E21" s="97">
        <f>IF(F9&lt;=1500000,0,IF(F9&lt;=10000000,1%,IF(F9&lt;=50000000,2%,IF(F9&lt;=250000000,3%,IF(F9&lt;=1000000000,4%,5%)))))</f>
        <v>0.05</v>
      </c>
      <c r="F21" s="28">
        <f t="shared" si="0"/>
        <v>47288400</v>
      </c>
      <c r="G21" s="5"/>
      <c r="H21" s="6"/>
      <c r="I21" s="58" t="s">
        <v>72</v>
      </c>
    </row>
    <row r="22" spans="1:9" s="31" customFormat="1" ht="15.75" thickBot="1" x14ac:dyDescent="0.3">
      <c r="A22" s="135"/>
      <c r="B22" s="66" t="s">
        <v>96</v>
      </c>
      <c r="C22" s="67"/>
      <c r="D22" s="68" t="s">
        <v>74</v>
      </c>
      <c r="E22" s="69">
        <f>SUM(E16:E21)</f>
        <v>0.09</v>
      </c>
      <c r="F22" s="30">
        <f>SUM(F16:F21)</f>
        <v>85119120</v>
      </c>
      <c r="G22" s="5"/>
      <c r="H22" s="7" t="s">
        <v>35</v>
      </c>
      <c r="I22" s="60" t="s">
        <v>73</v>
      </c>
    </row>
    <row r="23" spans="1:9" s="31" customFormat="1" ht="15.75" thickBot="1" x14ac:dyDescent="0.3">
      <c r="A23" s="136" t="s">
        <v>103</v>
      </c>
      <c r="B23" s="61" t="s">
        <v>26</v>
      </c>
      <c r="C23" s="34"/>
      <c r="D23" s="17"/>
      <c r="E23" s="18"/>
      <c r="F23" s="19"/>
      <c r="G23" s="19"/>
      <c r="H23" s="20"/>
      <c r="I23" s="59"/>
    </row>
    <row r="24" spans="1:9" s="31" customFormat="1" ht="15.75" thickBot="1" x14ac:dyDescent="0.3">
      <c r="A24" s="137"/>
      <c r="B24" s="21" t="s">
        <v>10</v>
      </c>
      <c r="C24" s="24">
        <v>0.01</v>
      </c>
      <c r="D24" s="3" t="s">
        <v>27</v>
      </c>
      <c r="E24" s="23">
        <v>0</v>
      </c>
      <c r="F24" s="5">
        <f>E24*$F$7</f>
        <v>0</v>
      </c>
      <c r="G24" s="5"/>
      <c r="H24" s="6"/>
      <c r="I24" s="72" t="s">
        <v>77</v>
      </c>
    </row>
    <row r="25" spans="1:9" s="31" customFormat="1" ht="15.75" thickBot="1" x14ac:dyDescent="0.3">
      <c r="A25" s="137"/>
      <c r="B25" s="21" t="s">
        <v>13</v>
      </c>
      <c r="C25" s="24">
        <v>1.4999999999999999E-2</v>
      </c>
      <c r="D25" s="3" t="s">
        <v>28</v>
      </c>
      <c r="E25" s="23">
        <v>0</v>
      </c>
      <c r="F25" s="5">
        <f>E25*$F$7</f>
        <v>0</v>
      </c>
      <c r="G25" s="5"/>
      <c r="H25" s="6"/>
      <c r="I25" s="72" t="s">
        <v>76</v>
      </c>
    </row>
    <row r="26" spans="1:9" s="31" customFormat="1" ht="15.75" thickBot="1" x14ac:dyDescent="0.3">
      <c r="A26" s="137"/>
      <c r="B26" s="21" t="s">
        <v>15</v>
      </c>
      <c r="C26" s="22" t="s">
        <v>29</v>
      </c>
      <c r="D26" s="3" t="s">
        <v>30</v>
      </c>
      <c r="E26" s="23">
        <v>0</v>
      </c>
      <c r="F26" s="5">
        <f>E26*$F$7</f>
        <v>0</v>
      </c>
      <c r="G26" s="5"/>
      <c r="H26" s="6"/>
      <c r="I26" s="72" t="s">
        <v>78</v>
      </c>
    </row>
    <row r="27" spans="1:9" s="31" customFormat="1" ht="15.75" thickBot="1" x14ac:dyDescent="0.3">
      <c r="A27" s="137"/>
      <c r="B27" s="21" t="s">
        <v>18</v>
      </c>
      <c r="C27" s="24">
        <v>0.02</v>
      </c>
      <c r="D27" s="3" t="s">
        <v>31</v>
      </c>
      <c r="E27" s="23">
        <v>0</v>
      </c>
      <c r="F27" s="5">
        <f>E27*$F$7</f>
        <v>0</v>
      </c>
      <c r="G27" s="5"/>
      <c r="H27" s="6"/>
      <c r="I27" s="72" t="s">
        <v>80</v>
      </c>
    </row>
    <row r="28" spans="1:9" s="31" customFormat="1" ht="15.75" thickBot="1" x14ac:dyDescent="0.3">
      <c r="A28" s="137"/>
      <c r="B28" s="21" t="s">
        <v>20</v>
      </c>
      <c r="C28" s="22" t="s">
        <v>16</v>
      </c>
      <c r="D28" s="3" t="s">
        <v>32</v>
      </c>
      <c r="E28" s="23">
        <v>0.03</v>
      </c>
      <c r="F28" s="5">
        <f>E28*$F$7</f>
        <v>28373040</v>
      </c>
      <c r="G28" s="5"/>
      <c r="H28" s="6"/>
      <c r="I28" s="72" t="s">
        <v>79</v>
      </c>
    </row>
    <row r="29" spans="1:9" s="31" customFormat="1" ht="15.75" thickBot="1" x14ac:dyDescent="0.3">
      <c r="A29" s="138"/>
      <c r="B29" s="70" t="s">
        <v>97</v>
      </c>
      <c r="C29" s="71"/>
      <c r="D29" s="41" t="s">
        <v>75</v>
      </c>
      <c r="E29" s="42">
        <f>SUM(E24:E28)</f>
        <v>0.03</v>
      </c>
      <c r="F29" s="35">
        <f>SUM(F24:F28)</f>
        <v>28373040</v>
      </c>
      <c r="G29" s="14"/>
      <c r="H29" s="36" t="s">
        <v>39</v>
      </c>
      <c r="I29" s="73" t="s">
        <v>81</v>
      </c>
    </row>
    <row r="30" spans="1:9" ht="15" customHeight="1" x14ac:dyDescent="0.25">
      <c r="A30" s="113" t="s">
        <v>104</v>
      </c>
      <c r="B30" s="16"/>
      <c r="C30" s="34"/>
      <c r="D30" s="17"/>
      <c r="E30" s="18"/>
      <c r="F30" s="19"/>
      <c r="G30" s="19"/>
      <c r="H30" s="20"/>
    </row>
    <row r="31" spans="1:9" s="31" customFormat="1" x14ac:dyDescent="0.25">
      <c r="A31" s="114"/>
      <c r="B31" s="66" t="s">
        <v>34</v>
      </c>
      <c r="C31" s="67"/>
      <c r="D31" s="74" t="s">
        <v>82</v>
      </c>
      <c r="E31" s="69"/>
      <c r="F31" s="30"/>
      <c r="G31" s="37">
        <f>F22-F29</f>
        <v>56746080</v>
      </c>
      <c r="H31" s="7" t="s">
        <v>42</v>
      </c>
      <c r="I31" s="73" t="s">
        <v>83</v>
      </c>
    </row>
    <row r="32" spans="1:9" ht="15.75" customHeight="1" thickBot="1" x14ac:dyDescent="0.3">
      <c r="A32" s="115"/>
      <c r="B32" s="29"/>
      <c r="C32" s="22"/>
      <c r="D32" s="3"/>
      <c r="E32" s="4"/>
      <c r="F32" s="5"/>
      <c r="G32" s="5"/>
      <c r="H32" s="6"/>
    </row>
    <row r="33" spans="1:9" s="31" customFormat="1" x14ac:dyDescent="0.25">
      <c r="A33" s="120" t="s">
        <v>101</v>
      </c>
      <c r="B33" s="61" t="s">
        <v>36</v>
      </c>
      <c r="C33" s="34"/>
      <c r="D33" s="38" t="s">
        <v>85</v>
      </c>
      <c r="E33" s="18" t="str">
        <f>IF(E22&lt;&gt;0,"NÃO","SIM")</f>
        <v>NÃO</v>
      </c>
      <c r="F33" s="123" t="str">
        <f>IF(E33=E34="SIM","APLICÁVEL","NÃO APLICÁVEL")</f>
        <v>NÃO APLICÁVEL</v>
      </c>
      <c r="G33" s="124" t="str">
        <f>IF(F33&lt;&gt;F35, "APLICÁVEL","NÃO APLICÁVEL")</f>
        <v>NÃO APLICÁVEL</v>
      </c>
      <c r="H33" s="20"/>
      <c r="I33" s="72" t="s">
        <v>88</v>
      </c>
    </row>
    <row r="34" spans="1:9" s="31" customFormat="1" x14ac:dyDescent="0.25">
      <c r="A34" s="121"/>
      <c r="B34" s="29"/>
      <c r="C34" s="22"/>
      <c r="D34" s="27" t="s">
        <v>84</v>
      </c>
      <c r="E34" s="4" t="str">
        <f>IF(E29&lt;&gt;0,"NÃO","SIM")</f>
        <v>NÃO</v>
      </c>
      <c r="F34" s="119"/>
      <c r="G34" s="125"/>
      <c r="H34" s="6"/>
      <c r="I34" s="72" t="s">
        <v>89</v>
      </c>
    </row>
    <row r="35" spans="1:9" s="31" customFormat="1" x14ac:dyDescent="0.25">
      <c r="A35" s="121"/>
      <c r="B35" s="29"/>
      <c r="C35" s="22"/>
      <c r="D35" s="27" t="s">
        <v>86</v>
      </c>
      <c r="E35" s="4" t="str">
        <f>IF(E22-E29&lt;=0,"SIM","NÃO")</f>
        <v>NÃO</v>
      </c>
      <c r="F35" s="78" t="str">
        <f>IF(E35="SIM","APLICÁVEL","NÃO APLICÁVEL")</f>
        <v>NÃO APLICÁVEL</v>
      </c>
      <c r="G35" s="125"/>
      <c r="H35" s="6"/>
      <c r="I35" s="72" t="s">
        <v>90</v>
      </c>
    </row>
    <row r="36" spans="1:9" s="31" customFormat="1" x14ac:dyDescent="0.25">
      <c r="A36" s="121"/>
      <c r="B36" s="29"/>
      <c r="C36" s="22"/>
      <c r="D36" s="27"/>
      <c r="E36" s="4"/>
      <c r="F36" s="5"/>
      <c r="G36" s="5"/>
      <c r="H36" s="6"/>
      <c r="I36" s="59"/>
    </row>
    <row r="37" spans="1:9" s="31" customFormat="1" x14ac:dyDescent="0.25">
      <c r="A37" s="121"/>
      <c r="B37" s="21" t="s">
        <v>10</v>
      </c>
      <c r="C37" s="24">
        <v>1E-3</v>
      </c>
      <c r="D37" s="3" t="s">
        <v>37</v>
      </c>
      <c r="E37" s="4">
        <v>1E-3</v>
      </c>
      <c r="F37" s="46">
        <f>E37*$F$7</f>
        <v>945768</v>
      </c>
      <c r="G37" s="5"/>
      <c r="H37" s="6"/>
      <c r="I37" s="59"/>
    </row>
    <row r="38" spans="1:9" s="31" customFormat="1" x14ac:dyDescent="0.25">
      <c r="A38" s="121"/>
      <c r="B38" s="21" t="s">
        <v>13</v>
      </c>
      <c r="C38" s="39">
        <v>6000</v>
      </c>
      <c r="D38" s="3" t="s">
        <v>105</v>
      </c>
      <c r="E38" s="4"/>
      <c r="F38" s="5">
        <v>6000</v>
      </c>
      <c r="G38" s="5"/>
      <c r="H38" s="6"/>
      <c r="I38" s="59"/>
    </row>
    <row r="39" spans="1:9" s="31" customFormat="1" ht="15.75" thickBot="1" x14ac:dyDescent="0.3">
      <c r="A39" s="122"/>
      <c r="B39" s="70" t="s">
        <v>38</v>
      </c>
      <c r="C39" s="33"/>
      <c r="D39" s="85" t="str">
        <f>IF(G33="NÃO APLICÁVEL", "Não se aplica o Art. 19, permanece o resultado (k)", "Aplica-se o Art. 19")</f>
        <v>Não se aplica o Art. 19, permanece o resultado (k)</v>
      </c>
      <c r="E39" s="4"/>
      <c r="F39" s="5"/>
      <c r="G39" s="30">
        <f>IF(G33="NÃO APLICÁVEL",G31, IF(F37&gt;F38,F37,F38))</f>
        <v>56746080</v>
      </c>
      <c r="H39" s="36" t="s">
        <v>43</v>
      </c>
      <c r="I39" s="59"/>
    </row>
    <row r="40" spans="1:9" s="31" customFormat="1" ht="15" customHeight="1" x14ac:dyDescent="0.25">
      <c r="A40" s="113" t="s">
        <v>100</v>
      </c>
      <c r="B40" s="61" t="s">
        <v>139</v>
      </c>
      <c r="C40" s="76"/>
      <c r="D40" s="86" t="s">
        <v>87</v>
      </c>
      <c r="E40" s="18"/>
      <c r="F40" s="19"/>
      <c r="G40" s="87"/>
      <c r="H40" s="47"/>
      <c r="I40" s="59"/>
    </row>
    <row r="41" spans="1:9" s="31" customFormat="1" x14ac:dyDescent="0.25">
      <c r="A41" s="114"/>
      <c r="B41" s="21" t="s">
        <v>10</v>
      </c>
      <c r="C41" s="75"/>
      <c r="D41" s="1" t="s">
        <v>92</v>
      </c>
      <c r="E41" s="4"/>
      <c r="F41" s="5"/>
      <c r="G41" s="88"/>
      <c r="H41" s="48"/>
      <c r="I41" s="59"/>
    </row>
    <row r="42" spans="1:9" s="31" customFormat="1" x14ac:dyDescent="0.25">
      <c r="A42" s="114"/>
      <c r="B42" s="21"/>
      <c r="C42" s="75"/>
      <c r="D42" s="1" t="s">
        <v>40</v>
      </c>
      <c r="E42" s="77">
        <f>F13</f>
        <v>765388050.31568003</v>
      </c>
      <c r="F42" s="119">
        <f>LARGE(E42:E43,1)</f>
        <v>765388050.31568003</v>
      </c>
      <c r="G42" s="94"/>
      <c r="H42" s="48"/>
      <c r="I42" s="59"/>
    </row>
    <row r="43" spans="1:9" s="31" customFormat="1" x14ac:dyDescent="0.25">
      <c r="A43" s="114"/>
      <c r="B43" s="21"/>
      <c r="C43" s="75"/>
      <c r="D43" s="1" t="s">
        <v>41</v>
      </c>
      <c r="E43" s="77">
        <f>LARGE(F37:F38,1)</f>
        <v>945768</v>
      </c>
      <c r="F43" s="119"/>
      <c r="G43" s="94"/>
      <c r="H43" s="48"/>
      <c r="I43" s="59"/>
    </row>
    <row r="44" spans="1:9" s="31" customFormat="1" x14ac:dyDescent="0.25">
      <c r="A44" s="114"/>
      <c r="B44" s="21"/>
      <c r="C44" s="75"/>
      <c r="D44" s="1"/>
      <c r="E44" s="4"/>
      <c r="F44" s="5"/>
      <c r="G44" s="89"/>
      <c r="H44" s="83"/>
      <c r="I44" s="59"/>
    </row>
    <row r="45" spans="1:9" s="31" customFormat="1" x14ac:dyDescent="0.25">
      <c r="A45" s="114"/>
      <c r="B45" s="21" t="s">
        <v>13</v>
      </c>
      <c r="C45" s="75"/>
      <c r="D45" s="1" t="s">
        <v>91</v>
      </c>
      <c r="E45" s="4"/>
      <c r="F45" s="5"/>
      <c r="G45" s="90"/>
      <c r="H45" s="48"/>
      <c r="I45" s="59"/>
    </row>
    <row r="46" spans="1:9" s="31" customFormat="1" x14ac:dyDescent="0.25">
      <c r="A46" s="114"/>
      <c r="B46" s="21"/>
      <c r="C46" s="75"/>
      <c r="D46" s="1" t="s">
        <v>106</v>
      </c>
      <c r="E46" s="5">
        <f>0.2*$F$7</f>
        <v>189153600</v>
      </c>
      <c r="F46" s="119">
        <f>SMALL(E46:E47,1)</f>
        <v>189153600</v>
      </c>
      <c r="G46" s="94"/>
      <c r="H46" s="48"/>
      <c r="I46" s="59"/>
    </row>
    <row r="47" spans="1:9" s="31" customFormat="1" x14ac:dyDescent="0.25">
      <c r="A47" s="114"/>
      <c r="B47" s="21"/>
      <c r="C47" s="75"/>
      <c r="D47" s="1" t="s">
        <v>127</v>
      </c>
      <c r="E47" s="77">
        <f>3*LARGE(F13:F13,1)</f>
        <v>2296164150.9470401</v>
      </c>
      <c r="F47" s="119"/>
      <c r="G47" s="94"/>
      <c r="H47" s="48"/>
      <c r="I47" s="59"/>
    </row>
    <row r="48" spans="1:9" s="31" customFormat="1" x14ac:dyDescent="0.25">
      <c r="A48" s="114"/>
      <c r="B48" s="21"/>
      <c r="C48" s="75"/>
      <c r="D48" s="91" t="s">
        <v>94</v>
      </c>
      <c r="E48" s="95">
        <f>SMALL(F42:F47,1)</f>
        <v>189153600</v>
      </c>
      <c r="F48" s="46">
        <f>LARGE(F42:F47,1)</f>
        <v>765388050.31568003</v>
      </c>
      <c r="G48" s="89"/>
      <c r="H48" s="48"/>
      <c r="I48" s="59"/>
    </row>
    <row r="49" spans="1:9" s="31" customFormat="1" x14ac:dyDescent="0.25">
      <c r="A49" s="114"/>
      <c r="B49" s="21"/>
      <c r="C49" s="75"/>
      <c r="D49" s="91"/>
      <c r="E49" s="77" t="s">
        <v>48</v>
      </c>
      <c r="F49" s="77" t="s">
        <v>50</v>
      </c>
      <c r="G49" s="89"/>
      <c r="H49" s="48"/>
      <c r="I49" s="59"/>
    </row>
    <row r="50" spans="1:9" s="31" customFormat="1" ht="15.75" thickBot="1" x14ac:dyDescent="0.3">
      <c r="A50" s="114"/>
      <c r="B50" s="81" t="s">
        <v>95</v>
      </c>
      <c r="C50" s="82"/>
      <c r="D50" s="92" t="str">
        <f>IF(G39&lt;=E48," (l) =&lt; (m), utiliza-se o limite (m)",IF(G39&gt;F48,"(l) &gt; (n), utiliza-se o limite (n)","(m) &lt; (l) &lt; (m), utiliza-se o valor calculado (l)"))</f>
        <v xml:space="preserve"> (l) =&lt; (m), utiliza-se o limite (m)</v>
      </c>
      <c r="E50" s="42"/>
      <c r="F50" s="35"/>
      <c r="G50" s="93">
        <f>IF(G39&lt;E48,E48,IF(G39&gt;F48,F48,G39))</f>
        <v>189153600</v>
      </c>
      <c r="H50" s="84" t="s">
        <v>52</v>
      </c>
      <c r="I50" s="59"/>
    </row>
    <row r="51" spans="1:9" ht="9" customHeight="1" thickBot="1" x14ac:dyDescent="0.3">
      <c r="A51" s="115"/>
      <c r="B51" s="40"/>
      <c r="C51" s="33"/>
      <c r="D51" s="12"/>
      <c r="E51" s="13"/>
      <c r="F51" s="14"/>
      <c r="G51" s="14"/>
      <c r="H51" s="15"/>
    </row>
    <row r="52" spans="1:9" s="31" customFormat="1" ht="15" customHeight="1" x14ac:dyDescent="0.25">
      <c r="A52" s="120" t="s">
        <v>99</v>
      </c>
      <c r="B52" s="61" t="s">
        <v>44</v>
      </c>
      <c r="C52" s="34"/>
      <c r="D52" s="17" t="s">
        <v>45</v>
      </c>
      <c r="E52" s="18" t="str">
        <f>IF(E7&lt;&gt;"Art. 17, caput","SIM",IF(F7&lt;&gt;0,"NÃO SE APLICA","SIM"))</f>
        <v>NÃO SE APLICA</v>
      </c>
      <c r="F52" s="19"/>
      <c r="G52" s="19"/>
      <c r="H52" s="20"/>
      <c r="I52" s="59"/>
    </row>
    <row r="53" spans="1:9" s="31" customFormat="1" x14ac:dyDescent="0.25">
      <c r="A53" s="121"/>
      <c r="B53" s="21" t="s">
        <v>10</v>
      </c>
      <c r="C53" s="22"/>
      <c r="D53" s="3" t="s">
        <v>124</v>
      </c>
      <c r="E53" s="4"/>
      <c r="F53" s="5" t="str">
        <f>IF(E7&lt;&gt;"Art. 22, I", "NÃO SE APLICA", F7)</f>
        <v>NÃO SE APLICA</v>
      </c>
      <c r="G53" s="5"/>
      <c r="H53" s="6"/>
      <c r="I53" s="59"/>
    </row>
    <row r="54" spans="1:9" s="31" customFormat="1" x14ac:dyDescent="0.25">
      <c r="A54" s="121"/>
      <c r="B54" s="21" t="s">
        <v>13</v>
      </c>
      <c r="C54" s="22"/>
      <c r="D54" s="3" t="s">
        <v>125</v>
      </c>
      <c r="E54" s="4"/>
      <c r="F54" s="5" t="str">
        <f>IF(E7&lt;&gt;"Art. 22, II", "NÃO SE APLICA", F7)</f>
        <v>NÃO SE APLICA</v>
      </c>
      <c r="G54" s="5"/>
      <c r="H54" s="6"/>
      <c r="I54" s="59"/>
    </row>
    <row r="55" spans="1:9" s="31" customFormat="1" x14ac:dyDescent="0.25">
      <c r="A55" s="121"/>
      <c r="B55" s="21" t="s">
        <v>15</v>
      </c>
      <c r="C55" s="22"/>
      <c r="D55" s="3" t="s">
        <v>126</v>
      </c>
      <c r="E55" s="4"/>
      <c r="F55" s="5" t="str">
        <f>IF(E7&lt;&gt;"Art. 22, III", "NÃO SE APLICA", F7)</f>
        <v>NÃO SE APLICA</v>
      </c>
      <c r="G55" s="5"/>
      <c r="H55" s="6"/>
      <c r="I55" s="59"/>
    </row>
    <row r="56" spans="1:9" s="31" customFormat="1" x14ac:dyDescent="0.25">
      <c r="A56" s="121"/>
      <c r="B56" s="21" t="s">
        <v>46</v>
      </c>
      <c r="C56" s="22"/>
      <c r="D56" s="3" t="s">
        <v>47</v>
      </c>
      <c r="E56" s="4"/>
      <c r="F56" s="5">
        <v>6000</v>
      </c>
      <c r="G56" s="5"/>
      <c r="H56" s="7" t="s">
        <v>54</v>
      </c>
      <c r="I56" s="59"/>
    </row>
    <row r="57" spans="1:9" s="31" customFormat="1" x14ac:dyDescent="0.25">
      <c r="A57" s="121"/>
      <c r="B57" s="29"/>
      <c r="C57" s="22"/>
      <c r="D57" s="3" t="s">
        <v>49</v>
      </c>
      <c r="E57" s="4"/>
      <c r="F57" s="5">
        <v>60000000</v>
      </c>
      <c r="G57" s="5"/>
      <c r="H57" s="7" t="s">
        <v>56</v>
      </c>
      <c r="I57" s="59"/>
    </row>
    <row r="58" spans="1:9" ht="15.75" thickBot="1" x14ac:dyDescent="0.3">
      <c r="A58" s="122"/>
      <c r="B58" s="66" t="s">
        <v>98</v>
      </c>
      <c r="C58" s="22"/>
      <c r="D58" s="104" t="str">
        <f>IF(E52="NÃO SE APLICA", "Não se aplica o Art. 22, permanece o resultado (o)", IF(G50&lt;F56,"(o) &lt; 6.000,00, utiliza-se 6.000,00",IF(G50&gt;F57,"(o)&gt;60.000.000,00, utiliza-se 60.000.000,00)","(p) &lt;(o) &lt; (q), utiliza-se (o)")))</f>
        <v>Não se aplica o Art. 22, permanece o resultado (o)</v>
      </c>
      <c r="E58" s="4"/>
      <c r="F58" s="5"/>
      <c r="G58" s="30">
        <f>IF(E52="NÃO SE APLICA",G50,IF(G50&lt;F56,F56,IF(G50&gt;F57,F57,G50)))</f>
        <v>189153600</v>
      </c>
      <c r="H58" s="7" t="s">
        <v>108</v>
      </c>
    </row>
    <row r="59" spans="1:9" ht="15" customHeight="1" x14ac:dyDescent="0.25">
      <c r="A59" s="113" t="s">
        <v>129</v>
      </c>
      <c r="B59" s="16"/>
      <c r="C59" s="34"/>
      <c r="D59" s="17"/>
      <c r="E59" s="18"/>
      <c r="F59" s="19"/>
      <c r="G59" s="98"/>
      <c r="H59" s="20"/>
    </row>
    <row r="60" spans="1:9" s="31" customFormat="1" x14ac:dyDescent="0.25">
      <c r="A60" s="114"/>
      <c r="B60" s="66" t="s">
        <v>51</v>
      </c>
      <c r="C60" s="22"/>
      <c r="D60" s="85" t="s">
        <v>109</v>
      </c>
      <c r="E60" s="4"/>
      <c r="F60" s="5"/>
      <c r="G60" s="99">
        <f>G58</f>
        <v>189153600</v>
      </c>
      <c r="H60" s="7" t="s">
        <v>107</v>
      </c>
      <c r="I60" s="59"/>
    </row>
    <row r="61" spans="1:9" ht="15.75" thickBot="1" x14ac:dyDescent="0.3">
      <c r="A61" s="115"/>
      <c r="B61" s="32"/>
      <c r="C61" s="33"/>
      <c r="D61" s="12"/>
      <c r="E61" s="13"/>
      <c r="F61" s="14"/>
      <c r="G61" s="100"/>
      <c r="H61" s="15"/>
    </row>
    <row r="62" spans="1:9" ht="15" customHeight="1" x14ac:dyDescent="0.25">
      <c r="A62" s="113" t="s">
        <v>130</v>
      </c>
      <c r="B62" s="16" t="s">
        <v>138</v>
      </c>
      <c r="C62" s="34"/>
      <c r="D62" s="17" t="s">
        <v>131</v>
      </c>
      <c r="E62" s="18"/>
      <c r="F62" s="19"/>
      <c r="G62" s="19"/>
      <c r="H62" s="47"/>
    </row>
    <row r="63" spans="1:9" x14ac:dyDescent="0.25">
      <c r="A63" s="114"/>
      <c r="B63" s="29"/>
      <c r="C63" s="22"/>
      <c r="D63" s="3" t="s">
        <v>53</v>
      </c>
      <c r="E63" s="4">
        <f>2/3</f>
        <v>0.66666666666666663</v>
      </c>
      <c r="F63" s="5">
        <f>G60*E63</f>
        <v>126102400</v>
      </c>
      <c r="G63" s="5"/>
      <c r="H63" s="48"/>
    </row>
    <row r="64" spans="1:9" ht="15.75" thickBot="1" x14ac:dyDescent="0.3">
      <c r="A64" s="115"/>
      <c r="B64" s="32"/>
      <c r="C64" s="33"/>
      <c r="D64" s="12" t="s">
        <v>132</v>
      </c>
      <c r="E64" s="103"/>
      <c r="F64" s="14">
        <f>E64*G60</f>
        <v>0</v>
      </c>
      <c r="G64" s="35">
        <f>G60-F64</f>
        <v>189153600</v>
      </c>
      <c r="H64" s="84" t="s">
        <v>128</v>
      </c>
    </row>
  </sheetData>
  <mergeCells count="21">
    <mergeCell ref="B13:D13"/>
    <mergeCell ref="A15:A22"/>
    <mergeCell ref="A23:A29"/>
    <mergeCell ref="A30:A32"/>
    <mergeCell ref="A33:A39"/>
    <mergeCell ref="A62:A64"/>
    <mergeCell ref="A1:H1"/>
    <mergeCell ref="A40:A51"/>
    <mergeCell ref="F42:F43"/>
    <mergeCell ref="F46:F47"/>
    <mergeCell ref="A52:A58"/>
    <mergeCell ref="A59:A61"/>
    <mergeCell ref="F33:F34"/>
    <mergeCell ref="G33:G35"/>
    <mergeCell ref="A4:A13"/>
    <mergeCell ref="B4:D4"/>
    <mergeCell ref="B7:D7"/>
    <mergeCell ref="B8:D8"/>
    <mergeCell ref="B9:D9"/>
    <mergeCell ref="B10:D10"/>
    <mergeCell ref="B12:D12"/>
  </mergeCells>
  <dataValidations count="4">
    <dataValidation type="decimal" allowBlank="1" showInputMessage="1" showErrorMessage="1" sqref="E64" xr:uid="{00000000-0002-0000-0000-000000000000}">
      <formula1>0</formula1>
      <formula2>2/3</formula2>
    </dataValidation>
    <dataValidation type="list" allowBlank="1" showInputMessage="1" showErrorMessage="1" sqref="E7" xr:uid="{00000000-0002-0000-0000-000001000000}">
      <formula1>Faturamento</formula1>
    </dataValidation>
    <dataValidation type="list" allowBlank="1" showInputMessage="1" showErrorMessage="1" sqref="E28" xr:uid="{00000000-0002-0000-0000-000002000000}">
      <formula1>possuir_e_aplicar_programa_de_integridade</formula1>
    </dataValidation>
    <dataValidation type="decimal" operator="greaterThan" allowBlank="1" showInputMessage="1" showErrorMessage="1" sqref="F7" xr:uid="{00000000-0002-0000-0000-000003000000}">
      <formula1>0</formula1>
    </dataValidation>
  </dataValidations>
  <pageMargins left="0.511811024" right="0.511811024" top="0.78740157499999996" bottom="0.78740157499999996" header="0.31496062000000002" footer="0.31496062000000002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Planilha1!$K$2:$K$3</xm:f>
          </x14:formula1>
          <xm:sqref>E27</xm:sqref>
        </x14:dataValidation>
        <x14:dataValidation type="list" allowBlank="1" showInputMessage="1" showErrorMessage="1" xr:uid="{00000000-0002-0000-0000-000005000000}">
          <x14:formula1>
            <xm:f>Planilha1!$J$2:$J$4</xm:f>
          </x14:formula1>
          <xm:sqref>E26</xm:sqref>
        </x14:dataValidation>
        <x14:dataValidation type="list" allowBlank="1" showInputMessage="1" showErrorMessage="1" xr:uid="{00000000-0002-0000-0000-000006000000}">
          <x14:formula1>
            <xm:f>Planilha1!$I$2:$I$3</xm:f>
          </x14:formula1>
          <xm:sqref>E25</xm:sqref>
        </x14:dataValidation>
        <x14:dataValidation type="list" allowBlank="1" showInputMessage="1" showErrorMessage="1" xr:uid="{00000000-0002-0000-0000-000007000000}">
          <x14:formula1>
            <xm:f>Planilha1!$H$2:$H$3</xm:f>
          </x14:formula1>
          <xm:sqref>E24</xm:sqref>
        </x14:dataValidation>
        <x14:dataValidation type="list" allowBlank="1" showInputMessage="1" showErrorMessage="1" xr:uid="{00000000-0002-0000-0000-000008000000}">
          <x14:formula1>
            <xm:f>Planilha1!$F$2:$F$3</xm:f>
          </x14:formula1>
          <xm:sqref>E20</xm:sqref>
        </x14:dataValidation>
        <x14:dataValidation type="list" allowBlank="1" showInputMessage="1" showErrorMessage="1" xr:uid="{00000000-0002-0000-0000-000009000000}">
          <x14:formula1>
            <xm:f>Planilha1!$E$2:$E$3</xm:f>
          </x14:formula1>
          <xm:sqref>E19</xm:sqref>
        </x14:dataValidation>
        <x14:dataValidation type="list" allowBlank="1" showInputMessage="1" showErrorMessage="1" xr:uid="{00000000-0002-0000-0000-00000A000000}">
          <x14:formula1>
            <xm:f>Planilha1!$D$2:$D$10</xm:f>
          </x14:formula1>
          <xm:sqref>E18</xm:sqref>
        </x14:dataValidation>
        <x14:dataValidation type="list" allowBlank="1" showInputMessage="1" showErrorMessage="1" xr:uid="{00000000-0002-0000-0000-00000B000000}">
          <x14:formula1>
            <xm:f>Planilha1!$C$2:$C$6</xm:f>
          </x14:formula1>
          <xm:sqref>E17</xm:sqref>
        </x14:dataValidation>
        <x14:dataValidation type="list" allowBlank="1" showInputMessage="1" showErrorMessage="1" xr:uid="{00000000-0002-0000-0000-00000C000000}">
          <x14:formula1>
            <xm:f>Planilha1!$B$2:$B$6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L3" sqref="L3"/>
    </sheetView>
  </sheetViews>
  <sheetFormatPr defaultRowHeight="15" x14ac:dyDescent="0.25"/>
  <cols>
    <col min="1" max="1" width="12.5703125" bestFit="1" customWidth="1"/>
    <col min="2" max="2" width="9.140625" style="96"/>
  </cols>
  <sheetData>
    <row r="1" spans="1:12" x14ac:dyDescent="0.25">
      <c r="A1" t="s">
        <v>112</v>
      </c>
      <c r="B1" s="96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I1" t="s">
        <v>120</v>
      </c>
      <c r="J1" t="s">
        <v>121</v>
      </c>
      <c r="K1" t="s">
        <v>122</v>
      </c>
      <c r="L1" t="s">
        <v>123</v>
      </c>
    </row>
    <row r="2" spans="1:12" x14ac:dyDescent="0.25">
      <c r="A2" t="s">
        <v>65</v>
      </c>
      <c r="B2" s="96">
        <v>0</v>
      </c>
      <c r="C2" s="96">
        <v>0</v>
      </c>
      <c r="D2" s="96">
        <v>0</v>
      </c>
      <c r="E2" s="96">
        <v>0</v>
      </c>
      <c r="F2" s="96">
        <v>0</v>
      </c>
      <c r="G2" s="96">
        <v>0</v>
      </c>
      <c r="H2" s="96">
        <v>0</v>
      </c>
      <c r="I2" s="96">
        <v>0</v>
      </c>
      <c r="J2" s="96">
        <v>0</v>
      </c>
      <c r="K2" s="96">
        <v>0</v>
      </c>
      <c r="L2" s="96">
        <v>0</v>
      </c>
    </row>
    <row r="3" spans="1:12" x14ac:dyDescent="0.25">
      <c r="A3" t="s">
        <v>57</v>
      </c>
      <c r="B3" s="96">
        <v>0.01</v>
      </c>
      <c r="C3" s="96">
        <v>0.01</v>
      </c>
      <c r="D3" s="96">
        <v>5.0000000000000001E-3</v>
      </c>
      <c r="E3" s="96">
        <v>0.01</v>
      </c>
      <c r="F3" s="96">
        <v>0.05</v>
      </c>
      <c r="G3" s="96">
        <v>0.01</v>
      </c>
      <c r="H3" s="96">
        <v>0.01</v>
      </c>
      <c r="I3" s="96">
        <v>1.4999999999999999E-2</v>
      </c>
      <c r="J3" s="96">
        <v>0.01</v>
      </c>
      <c r="K3" s="96">
        <v>0.02</v>
      </c>
      <c r="L3" s="96">
        <v>0.01</v>
      </c>
    </row>
    <row r="4" spans="1:12" x14ac:dyDescent="0.25">
      <c r="A4" t="s">
        <v>58</v>
      </c>
      <c r="B4" s="96">
        <v>1.4999999999999999E-2</v>
      </c>
      <c r="C4" s="96">
        <v>1.4999999999999999E-2</v>
      </c>
      <c r="D4" s="96">
        <v>0.01</v>
      </c>
      <c r="E4" s="96"/>
      <c r="F4" s="96"/>
      <c r="G4" s="96">
        <v>0.02</v>
      </c>
      <c r="H4" s="96"/>
      <c r="I4" s="96"/>
      <c r="J4" s="96">
        <v>1.4999999999999999E-2</v>
      </c>
      <c r="K4" s="96"/>
      <c r="L4" s="96">
        <v>1.4999999999999999E-2</v>
      </c>
    </row>
    <row r="5" spans="1:12" x14ac:dyDescent="0.25">
      <c r="A5" t="s">
        <v>59</v>
      </c>
      <c r="B5" s="96">
        <v>0.02</v>
      </c>
      <c r="C5" s="96">
        <v>0.02</v>
      </c>
      <c r="D5" s="96">
        <v>1.4999999999999999E-2</v>
      </c>
      <c r="E5" s="96"/>
      <c r="F5" s="96"/>
      <c r="G5" s="96">
        <v>0.03</v>
      </c>
      <c r="H5" s="96"/>
      <c r="I5" s="96"/>
      <c r="J5" s="96"/>
      <c r="K5" s="96"/>
      <c r="L5" s="96">
        <v>0.02</v>
      </c>
    </row>
    <row r="6" spans="1:12" x14ac:dyDescent="0.25">
      <c r="B6" s="96">
        <v>2.5000000000000001E-2</v>
      </c>
      <c r="C6" s="96">
        <v>2.5000000000000001E-2</v>
      </c>
      <c r="D6" s="96">
        <v>0.02</v>
      </c>
      <c r="E6" s="96"/>
      <c r="F6" s="96"/>
      <c r="G6" s="96">
        <v>0.04</v>
      </c>
      <c r="H6" s="96"/>
      <c r="I6" s="96"/>
      <c r="J6" s="96"/>
      <c r="K6" s="96"/>
      <c r="L6" s="96">
        <v>2.5000000000000001E-2</v>
      </c>
    </row>
    <row r="7" spans="1:12" x14ac:dyDescent="0.25">
      <c r="D7" s="96">
        <v>2.5000000000000001E-2</v>
      </c>
      <c r="G7" s="96">
        <v>0.05</v>
      </c>
      <c r="L7" s="96">
        <v>0.03</v>
      </c>
    </row>
    <row r="8" spans="1:12" x14ac:dyDescent="0.25">
      <c r="D8" s="96">
        <v>0.03</v>
      </c>
      <c r="L8" s="96">
        <v>3.5000000000000003E-2</v>
      </c>
    </row>
    <row r="9" spans="1:12" x14ac:dyDescent="0.25">
      <c r="D9" s="96">
        <v>3.5000000000000003E-2</v>
      </c>
      <c r="L9" s="96">
        <v>0.04</v>
      </c>
    </row>
    <row r="10" spans="1:12" x14ac:dyDescent="0.25">
      <c r="D10" s="96">
        <v>0.04</v>
      </c>
    </row>
  </sheetData>
  <dataValidations count="1">
    <dataValidation type="list" allowBlank="1" showInputMessage="1" showErrorMessage="1" sqref="A2" xr:uid="{00000000-0002-0000-0100-000000000000}">
      <formula1>Faturamento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16</vt:i4>
      </vt:variant>
    </vt:vector>
  </HeadingPairs>
  <TitlesOfParts>
    <vt:vector size="18" baseType="lpstr">
      <vt:lpstr>Empresa Leniente</vt:lpstr>
      <vt:lpstr>Planilha1</vt:lpstr>
      <vt:lpstr>'Empresa Leniente'!Area_de_impressao</vt:lpstr>
      <vt:lpstr>'Empresa Leniente'!Art._17__caput</vt:lpstr>
      <vt:lpstr>'Empresa Leniente'!Art._17__I</vt:lpstr>
      <vt:lpstr>'Empresa Leniente'!Art._17__II</vt:lpstr>
      <vt:lpstr>'Empresa Leniente'!Art._17__III</vt:lpstr>
      <vt:lpstr>'Empresa Leniente'!Art._17__IV</vt:lpstr>
      <vt:lpstr>'Empresa Leniente'!Art._17__V</vt:lpstr>
      <vt:lpstr>'Empresa Leniente'!Art._17__VI</vt:lpstr>
      <vt:lpstr>'Empresa Leniente'!Art._18__I</vt:lpstr>
      <vt:lpstr>'Empresa Leniente'!Art._18__II</vt:lpstr>
      <vt:lpstr>'Empresa Leniente'!Art._18__IV</vt:lpstr>
      <vt:lpstr>'Empresa Leniente'!Art._18__V</vt:lpstr>
      <vt:lpstr>'Empresa Leniente'!Art._18_III</vt:lpstr>
      <vt:lpstr>'Empresa Leniente'!Art17ou22</vt:lpstr>
      <vt:lpstr>Faturamento</vt:lpstr>
      <vt:lpstr>possuir_e_aplicar_programa_de_integridade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Rosa da Silva</dc:creator>
  <cp:lastModifiedBy>Wesley Almeida Ferreira</cp:lastModifiedBy>
  <cp:lastPrinted>2017-09-27T13:59:17Z</cp:lastPrinted>
  <dcterms:created xsi:type="dcterms:W3CDTF">2017-02-20T12:22:09Z</dcterms:created>
  <dcterms:modified xsi:type="dcterms:W3CDTF">2019-04-30T18:30:39Z</dcterms:modified>
</cp:coreProperties>
</file>